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5" windowWidth="9720" windowHeight="7320"/>
  </bookViews>
  <sheets>
    <sheet name="Sheet1" sheetId="1" r:id="rId1"/>
    <sheet name="Sheet2" sheetId="2" r:id="rId2"/>
    <sheet name="Sheet3" sheetId="3" r:id="rId3"/>
  </sheets>
  <definedNames>
    <definedName name="_xlnm._FilterDatabase" localSheetId="0" hidden="1">Sheet1!$A$1:$S$25</definedName>
    <definedName name="_xlnm.Print_Area" localSheetId="0">Sheet1!$A$1:$U$30</definedName>
  </definedNames>
  <calcPr calcId="145621"/>
</workbook>
</file>

<file path=xl/calcChain.xml><?xml version="1.0" encoding="utf-8"?>
<calcChain xmlns="http://schemas.openxmlformats.org/spreadsheetml/2006/main">
  <c r="W24" i="1" l="1"/>
  <c r="W23" i="1"/>
  <c r="W22" i="1"/>
  <c r="W21" i="1"/>
  <c r="W18" i="1"/>
  <c r="W19" i="1"/>
  <c r="W20" i="1"/>
  <c r="W17" i="1"/>
  <c r="X21" i="1" l="1"/>
  <c r="X20" i="1"/>
  <c r="X19" i="1"/>
  <c r="X24" i="1"/>
  <c r="X23" i="1"/>
  <c r="X22" i="1"/>
  <c r="N22" i="1" s="1"/>
  <c r="O22" i="1" s="1"/>
  <c r="X18" i="1"/>
  <c r="X17" i="1"/>
  <c r="AC7" i="1"/>
  <c r="AC8" i="1"/>
  <c r="AC9" i="1"/>
  <c r="AC10" i="1"/>
  <c r="AC11" i="1"/>
  <c r="AC6" i="1"/>
  <c r="W16" i="1" l="1"/>
  <c r="W15" i="1"/>
  <c r="W14" i="1"/>
  <c r="W13" i="1"/>
  <c r="W12" i="1"/>
  <c r="W11" i="1"/>
  <c r="W10" i="1"/>
  <c r="W9" i="1"/>
  <c r="W8" i="1"/>
  <c r="W7" i="1"/>
  <c r="W6" i="1"/>
  <c r="W5" i="1"/>
  <c r="N24" i="1" l="1"/>
  <c r="O24" i="1" s="1"/>
  <c r="N23" i="1"/>
  <c r="O23" i="1" s="1"/>
  <c r="N21" i="1"/>
  <c r="O21" i="1" s="1"/>
  <c r="N20" i="1"/>
  <c r="O20" i="1" s="1"/>
  <c r="N19" i="1"/>
  <c r="O19" i="1" s="1"/>
  <c r="N18" i="1"/>
  <c r="O18" i="1" s="1"/>
  <c r="N17" i="1"/>
  <c r="O17" i="1" s="1"/>
  <c r="E5" i="1"/>
  <c r="A7" i="3" l="1"/>
  <c r="A8" i="3"/>
  <c r="A9" i="3"/>
  <c r="A10" i="3"/>
  <c r="E16" i="1"/>
  <c r="J16" i="1" s="1"/>
  <c r="E15" i="1"/>
  <c r="J15" i="1" s="1"/>
  <c r="E14" i="1"/>
  <c r="J14" i="1" s="1"/>
  <c r="E13" i="1"/>
  <c r="J13" i="1" s="1"/>
  <c r="E12" i="1"/>
  <c r="J12" i="1" s="1"/>
  <c r="E11" i="1"/>
  <c r="J11" i="1" s="1"/>
  <c r="E10" i="1"/>
  <c r="J10" i="1" s="1"/>
  <c r="E9" i="1"/>
  <c r="J9" i="1" s="1"/>
  <c r="E8" i="1"/>
  <c r="J8" i="1" s="1"/>
  <c r="E7" i="1"/>
  <c r="J7" i="1" s="1"/>
  <c r="E6" i="1"/>
  <c r="J6" i="1" s="1"/>
  <c r="J5" i="1"/>
  <c r="H5" i="1"/>
  <c r="O10" i="1" l="1"/>
  <c r="O11" i="1"/>
  <c r="O12" i="1"/>
  <c r="O13" i="1"/>
  <c r="O14" i="1"/>
  <c r="O15" i="1"/>
  <c r="O16" i="1"/>
  <c r="O9" i="1"/>
  <c r="F15" i="1" l="1"/>
  <c r="F13" i="1"/>
  <c r="F9" i="1"/>
  <c r="F16" i="1"/>
  <c r="F14" i="1"/>
  <c r="F12" i="1"/>
  <c r="F10" i="1"/>
  <c r="F11" i="1"/>
  <c r="G10" i="1"/>
  <c r="M10" i="1" s="1"/>
  <c r="G12" i="1"/>
  <c r="M12" i="1" s="1"/>
  <c r="G14" i="1"/>
  <c r="M14" i="1" s="1"/>
  <c r="G16" i="1"/>
  <c r="M16" i="1" s="1"/>
  <c r="G11" i="1"/>
  <c r="M11" i="1" s="1"/>
  <c r="G13" i="1"/>
  <c r="M13" i="1" s="1"/>
  <c r="G15" i="1"/>
  <c r="M15" i="1" s="1"/>
  <c r="G9" i="1"/>
  <c r="M9" i="1" s="1"/>
  <c r="G6" i="1"/>
  <c r="M6" i="1" s="1"/>
  <c r="F6" i="1" l="1"/>
  <c r="O6" i="1"/>
  <c r="O7" i="1"/>
  <c r="F7" i="1"/>
  <c r="F5" i="1"/>
  <c r="O5" i="1"/>
  <c r="O8" i="1"/>
  <c r="F8" i="1"/>
  <c r="G8" i="1"/>
  <c r="M8" i="1" s="1"/>
  <c r="L5" i="1"/>
  <c r="L13" i="1"/>
  <c r="L15" i="1"/>
  <c r="L11" i="1"/>
  <c r="L9" i="1"/>
  <c r="L7" i="1"/>
  <c r="L16" i="1"/>
  <c r="L14" i="1"/>
  <c r="L12" i="1"/>
  <c r="L10" i="1"/>
  <c r="L8" i="1"/>
  <c r="L6" i="1"/>
  <c r="I13" i="1"/>
  <c r="I9" i="1"/>
  <c r="I15" i="1"/>
  <c r="I11" i="1"/>
  <c r="I16" i="1"/>
  <c r="I14" i="1"/>
  <c r="I12" i="1"/>
  <c r="I10" i="1"/>
  <c r="I8" i="1"/>
  <c r="I6" i="1"/>
  <c r="I7" i="1"/>
  <c r="G7" i="1"/>
  <c r="M7" i="1" s="1"/>
  <c r="K6" i="1" l="1"/>
  <c r="K8" i="1"/>
  <c r="K10" i="1"/>
  <c r="K12" i="1"/>
  <c r="K14" i="1"/>
  <c r="K16" i="1"/>
  <c r="N16" i="1" s="1"/>
  <c r="K7" i="1"/>
  <c r="N7" i="1" s="1"/>
  <c r="K9" i="1"/>
  <c r="N9" i="1" s="1"/>
  <c r="K11" i="1"/>
  <c r="N11" i="1" s="1"/>
  <c r="K13" i="1"/>
  <c r="N13" i="1" s="1"/>
  <c r="K15" i="1"/>
  <c r="N15" i="1" s="1"/>
  <c r="N10" i="1" l="1"/>
  <c r="N6" i="1"/>
  <c r="N12" i="1"/>
  <c r="N8" i="1"/>
  <c r="N14" i="1"/>
  <c r="I5" i="1"/>
  <c r="G5" i="1"/>
  <c r="K5" i="1" l="1"/>
  <c r="M5" i="1"/>
  <c r="N5" i="1" s="1"/>
</calcChain>
</file>

<file path=xl/comments1.xml><?xml version="1.0" encoding="utf-8"?>
<comments xmlns="http://schemas.openxmlformats.org/spreadsheetml/2006/main">
  <authors>
    <author>cmps073</author>
  </authors>
  <commentList>
    <comment ref="C3" authorId="0">
      <text>
        <r>
          <rPr>
            <b/>
            <sz val="10"/>
            <color indexed="81"/>
            <rFont val="Tahoma"/>
            <family val="2"/>
          </rPr>
          <t xml:space="preserve">Sarah says ensure that the new schedule has the revised threshold on it for BCEA </t>
        </r>
        <r>
          <rPr>
            <sz val="10"/>
            <color indexed="81"/>
            <rFont val="Tahoma"/>
            <family val="2"/>
          </rPr>
          <t xml:space="preserve">
</t>
        </r>
      </text>
    </comment>
  </commentList>
</comments>
</file>

<file path=xl/sharedStrings.xml><?xml version="1.0" encoding="utf-8"?>
<sst xmlns="http://schemas.openxmlformats.org/spreadsheetml/2006/main" count="70" uniqueCount="65">
  <si>
    <t>7a</t>
  </si>
  <si>
    <t>7b</t>
  </si>
  <si>
    <t>10a</t>
  </si>
  <si>
    <t>10b</t>
  </si>
  <si>
    <t>11a</t>
  </si>
  <si>
    <t>11b</t>
  </si>
  <si>
    <t xml:space="preserve">NEW </t>
  </si>
  <si>
    <t xml:space="preserve">OLD </t>
  </si>
  <si>
    <t>15a</t>
  </si>
  <si>
    <t>15b</t>
  </si>
  <si>
    <t>16a</t>
  </si>
  <si>
    <t>16b</t>
  </si>
  <si>
    <t>16c</t>
  </si>
  <si>
    <t>16d</t>
  </si>
  <si>
    <t>BONUS P.A., pro-rata in first  year</t>
  </si>
  <si>
    <t>MINIMUM CASH ANNUAL including long-leave</t>
  </si>
  <si>
    <t>PENSION or PROVIDENT FUND p.a.</t>
  </si>
  <si>
    <t>Grade</t>
  </si>
  <si>
    <t>Where staff who joined prior to 1 July 2009 were eligible for long leave and they have elected to retain this benefit and not trade it in as a cash benefit, the minimum salary indicated below needs to be adjusted to take into account the value of this retained long leave benefit. The column "Long Leave Units Kept" is to be amended accordingly in order to determine the appropriate remuneration rate. In the case of grades 6 to 9 (previous entitlement of 26 days) a unit is made up of 5 days, with the last unit being 6 days. The value of one unit is 0.4%. For grades 10+  (previous entitlement of 56 days) a unit is made up of 7 days, where the value of one unit is 0.5%.</t>
  </si>
  <si>
    <t xml:space="preserve">LONG LEAVE UNITS KEPT </t>
  </si>
  <si>
    <t>Cost to Company Packages</t>
  </si>
  <si>
    <t>MINIMUM CASH (Based on no. Long Leave Units Kept)</t>
  </si>
  <si>
    <t>n/a</t>
  </si>
  <si>
    <t>2010  RU MINIMUM CASH (includes long-leave &amp; further market adjustment)</t>
  </si>
  <si>
    <t>Total cost to employer per annum (approx)</t>
  </si>
  <si>
    <t>COMPOSITION OF REMUNERATION</t>
  </si>
  <si>
    <t>2010 APPROX COST TO COMPANY P.A.</t>
  </si>
  <si>
    <t>HOUSING R750p.m. (From R700pm in 2011)</t>
  </si>
  <si>
    <t>GROUP LIFE: 0,426% OF CASH SALARY</t>
  </si>
  <si>
    <t>50th Percentile per 2011 RemChannel Data</t>
  </si>
  <si>
    <t>2011 APPROX COST TO COMPANY P.A.</t>
  </si>
  <si>
    <t>2011 RU MINIMUM CASH (Annual Adjustment)</t>
  </si>
  <si>
    <t>Historical Data- Fulltime Staff</t>
  </si>
  <si>
    <t>Member’s Monthly Income</t>
  </si>
  <si>
    <t>Adult Beneficiary</t>
  </si>
  <si>
    <t>Child Beneficiary</t>
  </si>
  <si>
    <t>red</t>
  </si>
  <si>
    <t>orange</t>
  </si>
  <si>
    <t>yellow</t>
  </si>
  <si>
    <t>green</t>
  </si>
  <si>
    <t>blue</t>
  </si>
  <si>
    <t>Formula</t>
  </si>
  <si>
    <t>Description</t>
  </si>
  <si>
    <t>Result</t>
  </si>
  <si>
    <t>Looks up 4.19 in column A, and returns the value from column B that is in the same row.</t>
  </si>
  <si>
    <t>Looks up 5.00 in column A, matches the next smallest value (4.19), and returns the value from column B that is in the same row.</t>
  </si>
  <si>
    <t>Looks up 7.66 in column A, matches the next smallest value (6.39), and returns the value from column B that is in the same row.</t>
  </si>
  <si>
    <t>Looks up 0 in column A, and returns an error because 0 is less than the smallest value in the lookup_vector A2:A7.</t>
  </si>
  <si>
    <t>RUMED RATES</t>
  </si>
  <si>
    <t>Medical Aid CTC + Funeral Plan</t>
  </si>
  <si>
    <t>NOTE: AMEND THE PINK COLUMNS TO ADJUST FOR LONG LEAVE RETAINED AND/OR WHERE PART-TIME HOURS ARE WORKED.</t>
  </si>
  <si>
    <t>Revised basic cash/package for 2012. Not using compa ratio as basis for calculation until a further market adjustment exercise has been done.</t>
  </si>
  <si>
    <r>
      <rPr>
        <vertAlign val="superscript"/>
        <sz val="10"/>
        <rFont val="Arial"/>
        <family val="2"/>
      </rPr>
      <t>1</t>
    </r>
    <r>
      <rPr>
        <sz val="10"/>
        <rFont val="Arial"/>
        <family val="2"/>
      </rPr>
      <t>Where  a staff member has elected to not contribute towards the Rhodes University Provident fund, the Non Contributory Provident scales must be used.</t>
    </r>
  </si>
  <si>
    <r>
      <t>MINIMUM HOURLY RATE</t>
    </r>
    <r>
      <rPr>
        <vertAlign val="superscript"/>
        <sz val="12"/>
        <rFont val="Calibri"/>
        <family val="2"/>
      </rPr>
      <t>3</t>
    </r>
    <r>
      <rPr>
        <sz val="10"/>
        <rFont val="Calibri"/>
        <family val="2"/>
      </rPr>
      <t xml:space="preserve"> including long-leave (40hpw)</t>
    </r>
  </si>
  <si>
    <r>
      <rPr>
        <vertAlign val="superscript"/>
        <sz val="11"/>
        <rFont val="Arial"/>
        <family val="2"/>
      </rPr>
      <t>3</t>
    </r>
    <r>
      <rPr>
        <sz val="10"/>
        <rFont val="Arial"/>
        <family val="2"/>
      </rPr>
      <t>Hourly rates are illustrative and apply to those working 40hrs per week. For ad hoc work of short duration, the Temporary Staff scales should be used as these exclude the value of long leave. For longer term contracts, the rate of remuneration is based on the monthly/annual cash as per columns E and G above, but adjusted for long leave.</t>
    </r>
  </si>
  <si>
    <r>
      <t>Rhodes University: Remuneration PENSION &amp; PROVIDENT</t>
    </r>
    <r>
      <rPr>
        <b/>
        <vertAlign val="superscript"/>
        <sz val="14"/>
        <rFont val="Cambria"/>
        <family val="1"/>
      </rPr>
      <t>1</t>
    </r>
    <r>
      <rPr>
        <b/>
        <sz val="16"/>
        <rFont val="Cambria"/>
        <family val="1"/>
      </rPr>
      <t xml:space="preserve"> scales from 1 January 2013: PERMANENT SUPPORT STAFF </t>
    </r>
  </si>
  <si>
    <t>2012 RU MINIMUM CASH (Annual Adjustment)</t>
  </si>
  <si>
    <t>2012 APPROX COST TO COMPANY P.A.</t>
  </si>
  <si>
    <r>
      <t xml:space="preserve">APPROX COMPA RATIO of CASH </t>
    </r>
    <r>
      <rPr>
        <vertAlign val="superscript"/>
        <sz val="11"/>
        <rFont val="Calibri"/>
        <family val="2"/>
      </rPr>
      <t>2</t>
    </r>
    <r>
      <rPr>
        <sz val="10"/>
        <rFont val="Calibri"/>
        <family val="2"/>
      </rPr>
      <t xml:space="preserve"> to the 50th Percentile</t>
    </r>
  </si>
  <si>
    <r>
      <rPr>
        <vertAlign val="superscript"/>
        <sz val="10"/>
        <rFont val="Calibri"/>
        <family val="2"/>
      </rPr>
      <t>4</t>
    </r>
    <r>
      <rPr>
        <sz val="10"/>
        <rFont val="Calibri"/>
        <family val="2"/>
      </rPr>
      <t>MEDICAL AID p.a. RUMED- Principal member only</t>
    </r>
  </si>
  <si>
    <r>
      <rPr>
        <vertAlign val="superscript"/>
        <sz val="11"/>
        <rFont val="Arial"/>
        <family val="2"/>
      </rPr>
      <t>4</t>
    </r>
    <r>
      <rPr>
        <sz val="10"/>
        <rFont val="Arial"/>
        <family val="2"/>
      </rPr>
      <t xml:space="preserve"> From 2013, only the medical aid costs for the principal member are indicated on the schedule. However, the employer contribution to the medical aid benefit at 50% of the subscription, extends to the spouse/partner and legal dependants.</t>
    </r>
  </si>
  <si>
    <r>
      <rPr>
        <vertAlign val="superscript"/>
        <sz val="11"/>
        <rFont val="Arial"/>
        <family val="2"/>
      </rPr>
      <t>5</t>
    </r>
    <r>
      <rPr>
        <sz val="10"/>
        <rFont val="Arial"/>
        <family val="2"/>
      </rPr>
      <t xml:space="preserve"> in terms of the Basic Conditions of Employment Act, 1997, those earning above the earnings threshold of R172,000 are exempt from Ch2: Sections 9-12, 14-16, 17(2) &amp; 18(3).</t>
    </r>
  </si>
  <si>
    <t>UIF 1% OF BASIC P.A, max R1785 P.A.</t>
  </si>
  <si>
    <t>AVE HRS P/DAY (Use decimals, not minutes eg 3.15 = 3.25 and 6.45 is 6.75)</t>
  </si>
  <si>
    <r>
      <rPr>
        <vertAlign val="superscript"/>
        <sz val="11"/>
        <rFont val="Arial"/>
        <family val="2"/>
      </rPr>
      <t>2</t>
    </r>
    <r>
      <rPr>
        <sz val="10"/>
        <rFont val="Arial"/>
        <family val="2"/>
      </rPr>
      <t xml:space="preserve">Where long leave has been retained, the compa ratio used for market adjustment purposes, would be adjusted upwards to reflect this retained benefit. Benchmarking takes place every few years so in other years the compa ratio is approximated. For 2013, the market salaries have been assumed to have shifted by 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</si>
</sst>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0"/>
      <name val="Arial"/>
    </font>
    <font>
      <sz val="11"/>
      <name val="Calibri"/>
      <family val="2"/>
    </font>
    <font>
      <sz val="8"/>
      <name val="Arial"/>
      <family val="2"/>
    </font>
    <font>
      <sz val="11"/>
      <name val="Arial"/>
      <family val="2"/>
    </font>
    <font>
      <sz val="10"/>
      <name val="Calibri"/>
      <family val="2"/>
    </font>
    <font>
      <sz val="8"/>
      <name val="Calibri"/>
      <family val="2"/>
    </font>
    <font>
      <sz val="10"/>
      <name val="Arial"/>
      <family val="2"/>
    </font>
    <font>
      <b/>
      <sz val="12"/>
      <name val="Arial"/>
      <family val="2"/>
    </font>
    <font>
      <b/>
      <sz val="16"/>
      <name val="Cambria"/>
      <family val="1"/>
    </font>
    <font>
      <sz val="16"/>
      <name val="Cambria"/>
      <family val="1"/>
    </font>
    <font>
      <i/>
      <sz val="11"/>
      <name val="Cambria"/>
      <family val="1"/>
    </font>
    <font>
      <sz val="14"/>
      <name val="Calibri"/>
      <family val="2"/>
    </font>
    <font>
      <sz val="14"/>
      <name val="Arial"/>
      <family val="2"/>
    </font>
    <font>
      <b/>
      <sz val="11"/>
      <color rgb="FF000000"/>
      <name val="Arial"/>
      <family val="2"/>
    </font>
    <font>
      <sz val="11"/>
      <color rgb="FF000000"/>
      <name val="Arial"/>
      <family val="2"/>
    </font>
    <font>
      <b/>
      <sz val="10"/>
      <name val="Arial"/>
      <family val="2"/>
    </font>
    <font>
      <vertAlign val="superscript"/>
      <sz val="10"/>
      <name val="Arial"/>
      <family val="2"/>
    </font>
    <font>
      <b/>
      <vertAlign val="superscript"/>
      <sz val="14"/>
      <name val="Cambria"/>
      <family val="1"/>
    </font>
    <font>
      <vertAlign val="superscript"/>
      <sz val="11"/>
      <name val="Calibri"/>
      <family val="2"/>
    </font>
    <font>
      <vertAlign val="superscript"/>
      <sz val="11"/>
      <name val="Arial"/>
      <family val="2"/>
    </font>
    <font>
      <vertAlign val="superscript"/>
      <sz val="12"/>
      <name val="Calibri"/>
      <family val="2"/>
    </font>
    <font>
      <b/>
      <sz val="10"/>
      <color indexed="81"/>
      <name val="Tahoma"/>
      <family val="2"/>
    </font>
    <font>
      <sz val="10"/>
      <color indexed="81"/>
      <name val="Tahoma"/>
      <family val="2"/>
    </font>
    <font>
      <vertAlign val="superscript"/>
      <sz val="10"/>
      <name val="Calibri"/>
      <family val="2"/>
    </font>
  </fonts>
  <fills count="4">
    <fill>
      <patternFill patternType="none"/>
    </fill>
    <fill>
      <patternFill patternType="gray125"/>
    </fill>
    <fill>
      <patternFill patternType="solid">
        <fgColor rgb="FFF2F2F2"/>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01">
    <xf numFmtId="0" fontId="0" fillId="0" borderId="0" xfId="0"/>
    <xf numFmtId="0" fontId="1" fillId="0" borderId="1" xfId="0" applyFont="1" applyBorder="1" applyAlignment="1">
      <alignment vertical="top" wrapText="1"/>
    </xf>
    <xf numFmtId="0" fontId="3" fillId="0" borderId="0" xfId="0" applyFont="1"/>
    <xf numFmtId="3" fontId="4" fillId="0" borderId="0" xfId="0" applyNumberFormat="1" applyFont="1" applyFill="1" applyBorder="1"/>
    <xf numFmtId="0" fontId="6" fillId="0" borderId="0" xfId="0" applyFont="1"/>
    <xf numFmtId="3" fontId="1" fillId="0" borderId="1" xfId="0" applyNumberFormat="1" applyFont="1" applyBorder="1" applyAlignment="1">
      <alignment vertical="top" wrapText="1"/>
    </xf>
    <xf numFmtId="0" fontId="0" fillId="0" borderId="0" xfId="0" applyAlignment="1">
      <alignment wrapText="1"/>
    </xf>
    <xf numFmtId="0" fontId="4" fillId="0" borderId="8" xfId="0" applyFont="1" applyBorder="1" applyAlignment="1">
      <alignment horizontal="center" vertical="top" wrapText="1"/>
    </xf>
    <xf numFmtId="0" fontId="4" fillId="0" borderId="10" xfId="0" applyFont="1" applyFill="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10" fontId="0" fillId="0" borderId="0" xfId="0" applyNumberFormat="1"/>
    <xf numFmtId="0" fontId="9" fillId="0" borderId="0" xfId="0" applyFont="1" applyAlignment="1">
      <alignment horizontal="center" vertical="center" wrapText="1"/>
    </xf>
    <xf numFmtId="1" fontId="3" fillId="0" borderId="0" xfId="0" applyNumberFormat="1" applyFont="1"/>
    <xf numFmtId="1" fontId="0" fillId="0" borderId="0" xfId="0" applyNumberFormat="1"/>
    <xf numFmtId="1" fontId="1" fillId="0" borderId="14" xfId="0" applyNumberFormat="1" applyFont="1" applyBorder="1" applyAlignment="1">
      <alignment vertical="top" wrapText="1"/>
    </xf>
    <xf numFmtId="1" fontId="4" fillId="0" borderId="10" xfId="0" applyNumberFormat="1" applyFont="1" applyBorder="1" applyAlignment="1">
      <alignment horizontal="center" vertical="top" wrapText="1"/>
    </xf>
    <xf numFmtId="0" fontId="4" fillId="0" borderId="10" xfId="0" applyFont="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Border="1" applyAlignment="1">
      <alignment horizontal="center" vertical="top" wrapText="1"/>
    </xf>
    <xf numFmtId="3" fontId="1" fillId="0" borderId="19" xfId="0" applyNumberFormat="1" applyFont="1" applyBorder="1" applyAlignment="1">
      <alignment vertical="top" wrapText="1"/>
    </xf>
    <xf numFmtId="0" fontId="1" fillId="0" borderId="22" xfId="0" applyFont="1" applyBorder="1" applyAlignment="1">
      <alignment vertical="top" wrapText="1"/>
    </xf>
    <xf numFmtId="0" fontId="1" fillId="0" borderId="15" xfId="0" applyFont="1" applyBorder="1" applyAlignment="1">
      <alignment vertical="top" wrapText="1"/>
    </xf>
    <xf numFmtId="1" fontId="1" fillId="0" borderId="23" xfId="0" applyNumberFormat="1" applyFont="1" applyBorder="1" applyAlignment="1">
      <alignment vertical="top" wrapText="1"/>
    </xf>
    <xf numFmtId="3" fontId="1" fillId="0" borderId="15" xfId="0" applyNumberFormat="1" applyFont="1" applyBorder="1" applyAlignment="1">
      <alignment vertical="top" wrapText="1"/>
    </xf>
    <xf numFmtId="10" fontId="1" fillId="0" borderId="24" xfId="0" applyNumberFormat="1" applyFont="1" applyFill="1" applyBorder="1" applyAlignment="1">
      <alignment vertical="top" wrapText="1"/>
    </xf>
    <xf numFmtId="0" fontId="1" fillId="0" borderId="18" xfId="0" applyFont="1" applyBorder="1" applyAlignment="1">
      <alignment vertical="top" wrapText="1"/>
    </xf>
    <xf numFmtId="10" fontId="1" fillId="0" borderId="19" xfId="0" applyNumberFormat="1" applyFont="1" applyFill="1" applyBorder="1" applyAlignment="1">
      <alignment vertical="top" wrapText="1"/>
    </xf>
    <xf numFmtId="0" fontId="4" fillId="0" borderId="31" xfId="0" applyFont="1" applyBorder="1" applyAlignment="1">
      <alignment horizontal="center" vertical="top" wrapText="1"/>
    </xf>
    <xf numFmtId="1" fontId="1" fillId="0" borderId="33" xfId="0" applyNumberFormat="1" applyFont="1" applyBorder="1" applyAlignment="1">
      <alignment vertical="top" wrapText="1"/>
    </xf>
    <xf numFmtId="0" fontId="0" fillId="0" borderId="0" xfId="0" applyAlignment="1">
      <alignment horizontal="center" vertical="center" wrapText="1"/>
    </xf>
    <xf numFmtId="0" fontId="6" fillId="0" borderId="30" xfId="0" applyFont="1" applyBorder="1" applyAlignment="1">
      <alignment wrapText="1"/>
    </xf>
    <xf numFmtId="2" fontId="0" fillId="0" borderId="32" xfId="0" applyNumberFormat="1" applyBorder="1"/>
    <xf numFmtId="0" fontId="10" fillId="0" borderId="0" xfId="0" applyFont="1" applyBorder="1" applyAlignment="1">
      <alignment horizontal="center" vertical="center" wrapText="1"/>
    </xf>
    <xf numFmtId="3" fontId="1" fillId="0" borderId="22" xfId="0" applyNumberFormat="1" applyFont="1" applyBorder="1" applyAlignment="1">
      <alignment vertical="top" wrapText="1"/>
    </xf>
    <xf numFmtId="3" fontId="1" fillId="0" borderId="24" xfId="0" applyNumberFormat="1" applyFont="1" applyBorder="1" applyAlignment="1">
      <alignment vertical="top" wrapText="1"/>
    </xf>
    <xf numFmtId="3" fontId="1" fillId="0" borderId="18" xfId="0" applyNumberFormat="1" applyFont="1" applyBorder="1" applyAlignment="1">
      <alignment vertical="top" wrapText="1"/>
    </xf>
    <xf numFmtId="0" fontId="0" fillId="0" borderId="0" xfId="0" applyAlignment="1"/>
    <xf numFmtId="0" fontId="0" fillId="0" borderId="13" xfId="0" applyBorder="1" applyAlignment="1"/>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6" fillId="2" borderId="0" xfId="0" applyFont="1" applyFill="1" applyAlignment="1">
      <alignment horizontal="left" vertical="top" wrapText="1"/>
    </xf>
    <xf numFmtId="0" fontId="15" fillId="2" borderId="0" xfId="0" applyFont="1" applyFill="1" applyAlignment="1">
      <alignment horizontal="left" vertical="top" wrapText="1"/>
    </xf>
    <xf numFmtId="2" fontId="14" fillId="0" borderId="34" xfId="0" applyNumberFormat="1" applyFont="1" applyBorder="1" applyAlignment="1">
      <alignment vertical="top" wrapText="1"/>
    </xf>
    <xf numFmtId="2" fontId="14" fillId="0" borderId="35" xfId="0" applyNumberFormat="1" applyFont="1" applyBorder="1" applyAlignment="1">
      <alignment horizontal="center" vertical="top" wrapText="1"/>
    </xf>
    <xf numFmtId="2" fontId="0" fillId="0" borderId="10" xfId="0" applyNumberFormat="1" applyBorder="1"/>
    <xf numFmtId="0" fontId="1" fillId="0" borderId="18" xfId="0" applyFont="1" applyFill="1" applyBorder="1" applyAlignment="1">
      <alignment vertical="top" wrapText="1"/>
    </xf>
    <xf numFmtId="0" fontId="1" fillId="0" borderId="1" xfId="0" applyFont="1" applyFill="1" applyBorder="1" applyAlignment="1">
      <alignment vertical="top" wrapText="1"/>
    </xf>
    <xf numFmtId="3" fontId="1" fillId="0" borderId="1" xfId="0" applyNumberFormat="1" applyFont="1" applyFill="1" applyBorder="1" applyAlignment="1">
      <alignment vertical="top" wrapText="1"/>
    </xf>
    <xf numFmtId="10" fontId="1" fillId="0" borderId="25" xfId="0" applyNumberFormat="1" applyFont="1" applyFill="1" applyBorder="1" applyAlignment="1">
      <alignment vertical="top" wrapText="1"/>
    </xf>
    <xf numFmtId="3" fontId="1" fillId="0" borderId="19" xfId="0" applyNumberFormat="1" applyFont="1" applyFill="1" applyBorder="1" applyAlignment="1">
      <alignment vertical="top" wrapText="1"/>
    </xf>
    <xf numFmtId="0" fontId="0" fillId="0" borderId="0" xfId="0" applyFill="1"/>
    <xf numFmtId="0" fontId="0" fillId="0" borderId="32" xfId="0" applyFill="1" applyBorder="1"/>
    <xf numFmtId="1" fontId="1" fillId="0" borderId="33" xfId="0" applyNumberFormat="1" applyFont="1" applyFill="1" applyBorder="1" applyAlignment="1">
      <alignment vertical="top" wrapText="1"/>
    </xf>
    <xf numFmtId="164" fontId="0" fillId="0" borderId="0" xfId="0" applyNumberFormat="1" applyFill="1"/>
    <xf numFmtId="0" fontId="1" fillId="0" borderId="26" xfId="0" applyFont="1" applyFill="1" applyBorder="1" applyAlignment="1">
      <alignment vertical="top" wrapText="1"/>
    </xf>
    <xf numFmtId="0" fontId="1" fillId="0" borderId="27" xfId="0" applyFont="1" applyFill="1" applyBorder="1" applyAlignment="1">
      <alignment vertical="top" wrapText="1"/>
    </xf>
    <xf numFmtId="10" fontId="1" fillId="0" borderId="21" xfId="0" applyNumberFormat="1" applyFont="1" applyFill="1" applyBorder="1" applyAlignment="1">
      <alignment vertical="top" wrapText="1"/>
    </xf>
    <xf numFmtId="3" fontId="1" fillId="0" borderId="21" xfId="0" applyNumberFormat="1" applyFont="1" applyFill="1" applyBorder="1" applyAlignment="1">
      <alignment vertical="top" wrapText="1"/>
    </xf>
    <xf numFmtId="0" fontId="4" fillId="3" borderId="7" xfId="0" applyFont="1" applyFill="1" applyBorder="1" applyAlignment="1">
      <alignment horizontal="center" vertical="top" wrapText="1"/>
    </xf>
    <xf numFmtId="1" fontId="1" fillId="3" borderId="15" xfId="0" applyNumberFormat="1" applyFont="1" applyFill="1" applyBorder="1" applyAlignment="1">
      <alignment vertical="top" wrapText="1"/>
    </xf>
    <xf numFmtId="1" fontId="1" fillId="3" borderId="23" xfId="0" applyNumberFormat="1" applyFont="1" applyFill="1" applyBorder="1" applyAlignment="1">
      <alignment vertical="top" wrapText="1"/>
    </xf>
    <xf numFmtId="1" fontId="1" fillId="3" borderId="1" xfId="0" applyNumberFormat="1" applyFont="1" applyFill="1" applyBorder="1" applyAlignment="1">
      <alignment vertical="top" wrapText="1"/>
    </xf>
    <xf numFmtId="1" fontId="1" fillId="3" borderId="14" xfId="0" applyNumberFormat="1" applyFont="1" applyFill="1" applyBorder="1" applyAlignment="1">
      <alignment vertical="top" wrapText="1"/>
    </xf>
    <xf numFmtId="1" fontId="1" fillId="3" borderId="27" xfId="0" applyNumberFormat="1" applyFont="1" applyFill="1" applyBorder="1" applyAlignment="1">
      <alignment vertical="top" wrapText="1"/>
    </xf>
    <xf numFmtId="2" fontId="14" fillId="0" borderId="10" xfId="0" applyNumberFormat="1" applyFont="1" applyBorder="1" applyAlignment="1">
      <alignment vertical="top" wrapText="1"/>
    </xf>
    <xf numFmtId="2" fontId="14" fillId="0" borderId="7" xfId="0" applyNumberFormat="1" applyFont="1" applyBorder="1" applyAlignment="1">
      <alignment horizontal="center" vertical="top" wrapText="1"/>
    </xf>
    <xf numFmtId="3" fontId="1" fillId="0" borderId="27" xfId="0" applyNumberFormat="1" applyFont="1" applyFill="1" applyBorder="1" applyAlignment="1">
      <alignment vertical="top" wrapText="1"/>
    </xf>
    <xf numFmtId="0" fontId="6"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wrapText="1"/>
    </xf>
    <xf numFmtId="0" fontId="0" fillId="0" borderId="0" xfId="0" applyAlignment="1">
      <alignment wrapText="1"/>
    </xf>
    <xf numFmtId="0" fontId="6" fillId="0" borderId="13" xfId="0" applyFont="1" applyBorder="1" applyAlignment="1">
      <alignment horizontal="center"/>
    </xf>
    <xf numFmtId="0" fontId="0" fillId="0" borderId="13" xfId="0" applyBorder="1" applyAlignment="1">
      <alignment horizontal="center"/>
    </xf>
    <xf numFmtId="0" fontId="8" fillId="0" borderId="0" xfId="0" applyFont="1" applyAlignment="1">
      <alignment horizontal="center" vertical="center" wrapText="1"/>
    </xf>
    <xf numFmtId="0" fontId="0" fillId="0" borderId="0" xfId="0"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2" xfId="0" applyFont="1" applyBorder="1" applyAlignment="1">
      <alignment horizontal="center"/>
    </xf>
    <xf numFmtId="0" fontId="7" fillId="0" borderId="8" xfId="0" applyFont="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1" fontId="11" fillId="0" borderId="3"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9" xfId="0" applyFont="1" applyFill="1" applyBorder="1" applyAlignment="1">
      <alignment horizontal="center" vertical="center" wrapText="1"/>
    </xf>
    <xf numFmtId="3" fontId="4" fillId="0" borderId="36" xfId="0" applyNumberFormat="1" applyFont="1" applyFill="1" applyBorder="1" applyAlignment="1">
      <alignment horizontal="center" vertical="center" wrapText="1"/>
    </xf>
    <xf numFmtId="3" fontId="4" fillId="0" borderId="37" xfId="0"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wrapText="1"/>
    </xf>
    <xf numFmtId="0" fontId="7" fillId="0" borderId="2" xfId="0" applyFont="1" applyBorder="1" applyAlignment="1">
      <alignment horizontal="center" wrapText="1"/>
    </xf>
    <xf numFmtId="0" fontId="7" fillId="0" borderId="8" xfId="0" applyFont="1" applyBorder="1" applyAlignment="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3" fontId="4" fillId="0" borderId="16"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cellXfs>
  <cellStyles count="1">
    <cellStyle name="Normal" xfId="0" builtinId="0"/>
  </cellStyles>
  <dxfs count="1">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C31"/>
  <sheetViews>
    <sheetView tabSelected="1" zoomScale="75" zoomScaleNormal="75" workbookViewId="0">
      <selection activeCell="O11" sqref="O11"/>
    </sheetView>
  </sheetViews>
  <sheetFormatPr defaultRowHeight="12.75" x14ac:dyDescent="0.2"/>
  <cols>
    <col min="1" max="1" width="4.7109375" customWidth="1"/>
    <col min="2" max="2" width="4.85546875" customWidth="1"/>
    <col min="3" max="3" width="9.28515625" customWidth="1"/>
    <col min="4" max="4" width="10.5703125" customWidth="1"/>
    <col min="5" max="5" width="10" style="14" customWidth="1"/>
    <col min="6" max="6" width="9.7109375" customWidth="1"/>
    <col min="7" max="7" width="10" customWidth="1"/>
    <col min="8" max="8" width="10.28515625" customWidth="1"/>
    <col min="9" max="9" width="8.42578125" customWidth="1"/>
    <col min="10" max="10" width="11.28515625" customWidth="1"/>
    <col min="11" max="11" width="12.5703125" customWidth="1"/>
    <col min="12" max="12" width="10.5703125" customWidth="1"/>
    <col min="13" max="13" width="8.140625" customWidth="1"/>
    <col min="14" max="14" width="11.5703125" bestFit="1" customWidth="1"/>
    <col min="15" max="15" width="9.42578125" customWidth="1"/>
    <col min="16" max="16" width="10.42578125" customWidth="1"/>
    <col min="17" max="18" width="11.140625" customWidth="1"/>
    <col min="19" max="19" width="10.42578125" customWidth="1"/>
    <col min="20" max="20" width="10.85546875" customWidth="1"/>
    <col min="21" max="21" width="10" customWidth="1"/>
    <col min="22" max="22" width="2.28515625" customWidth="1"/>
    <col min="23" max="23" width="16" hidden="1" customWidth="1"/>
    <col min="24" max="24" width="19.140625" hidden="1" customWidth="1"/>
    <col min="25" max="25" width="9.140625" hidden="1" customWidth="1"/>
    <col min="26" max="26" width="20.5703125" hidden="1" customWidth="1"/>
    <col min="27" max="27" width="13.7109375" hidden="1" customWidth="1"/>
    <col min="28" max="28" width="16" hidden="1" customWidth="1"/>
    <col min="29" max="29" width="9.140625" hidden="1" customWidth="1"/>
    <col min="30" max="31" width="9.140625" customWidth="1"/>
  </cols>
  <sheetData>
    <row r="1" spans="1:29" ht="34.5" customHeight="1" x14ac:dyDescent="0.2">
      <c r="A1" s="74" t="s">
        <v>55</v>
      </c>
      <c r="B1" s="75"/>
      <c r="C1" s="75"/>
      <c r="D1" s="75"/>
      <c r="E1" s="75"/>
      <c r="F1" s="75"/>
      <c r="G1" s="75"/>
      <c r="H1" s="75"/>
      <c r="I1" s="75"/>
      <c r="J1" s="75"/>
      <c r="K1" s="75"/>
      <c r="L1" s="75"/>
      <c r="M1" s="75"/>
      <c r="N1" s="75"/>
      <c r="O1" s="75"/>
      <c r="P1" s="75"/>
      <c r="Q1" s="75"/>
      <c r="R1" s="75"/>
      <c r="S1" s="75"/>
      <c r="T1" s="30"/>
      <c r="U1" s="30"/>
      <c r="V1" s="6"/>
      <c r="W1" s="6"/>
      <c r="X1" s="12"/>
    </row>
    <row r="2" spans="1:29" ht="60.75" customHeight="1" thickBot="1" x14ac:dyDescent="0.25">
      <c r="A2" s="76" t="s">
        <v>18</v>
      </c>
      <c r="B2" s="76"/>
      <c r="C2" s="76"/>
      <c r="D2" s="76"/>
      <c r="E2" s="76"/>
      <c r="F2" s="76"/>
      <c r="G2" s="76"/>
      <c r="H2" s="76"/>
      <c r="I2" s="76"/>
      <c r="J2" s="76"/>
      <c r="K2" s="76"/>
      <c r="L2" s="76"/>
      <c r="M2" s="76"/>
      <c r="N2" s="76"/>
      <c r="O2" s="76"/>
      <c r="P2" s="77"/>
      <c r="Q2" s="77"/>
      <c r="R2" s="77"/>
      <c r="S2" s="77"/>
      <c r="T2" s="33"/>
      <c r="U2" s="33"/>
      <c r="X2" s="37"/>
    </row>
    <row r="3" spans="1:29" ht="32.25" customHeight="1" thickBot="1" x14ac:dyDescent="0.3">
      <c r="A3" s="78" t="s">
        <v>17</v>
      </c>
      <c r="B3" s="79"/>
      <c r="C3" s="78" t="s">
        <v>25</v>
      </c>
      <c r="D3" s="79"/>
      <c r="E3" s="80"/>
      <c r="F3" s="80"/>
      <c r="G3" s="80"/>
      <c r="H3" s="80"/>
      <c r="I3" s="80"/>
      <c r="J3" s="80"/>
      <c r="K3" s="80"/>
      <c r="L3" s="80"/>
      <c r="M3" s="80"/>
      <c r="N3" s="80"/>
      <c r="O3" s="81"/>
      <c r="P3" s="94" t="s">
        <v>32</v>
      </c>
      <c r="Q3" s="95"/>
      <c r="R3" s="95"/>
      <c r="S3" s="96"/>
      <c r="T3" s="96"/>
      <c r="U3" s="97"/>
      <c r="X3" s="38"/>
      <c r="Z3" s="72" t="s">
        <v>48</v>
      </c>
      <c r="AA3" s="73"/>
      <c r="AB3" s="73"/>
      <c r="AC3" s="73"/>
    </row>
    <row r="4" spans="1:29" ht="105.75" customHeight="1" thickBot="1" x14ac:dyDescent="0.25">
      <c r="A4" s="9" t="s">
        <v>6</v>
      </c>
      <c r="B4" s="10" t="s">
        <v>7</v>
      </c>
      <c r="C4" s="59" t="s">
        <v>19</v>
      </c>
      <c r="D4" s="59" t="s">
        <v>63</v>
      </c>
      <c r="E4" s="16" t="s">
        <v>21</v>
      </c>
      <c r="F4" s="17" t="s">
        <v>53</v>
      </c>
      <c r="G4" s="17" t="s">
        <v>15</v>
      </c>
      <c r="H4" s="8" t="s">
        <v>27</v>
      </c>
      <c r="I4" s="8" t="s">
        <v>14</v>
      </c>
      <c r="J4" s="8" t="s">
        <v>59</v>
      </c>
      <c r="K4" s="8" t="s">
        <v>16</v>
      </c>
      <c r="L4" s="8" t="s">
        <v>28</v>
      </c>
      <c r="M4" s="8" t="s">
        <v>62</v>
      </c>
      <c r="N4" s="7" t="s">
        <v>24</v>
      </c>
      <c r="O4" s="18" t="s">
        <v>58</v>
      </c>
      <c r="P4" s="17" t="s">
        <v>23</v>
      </c>
      <c r="Q4" s="19" t="s">
        <v>26</v>
      </c>
      <c r="R4" s="19" t="s">
        <v>31</v>
      </c>
      <c r="S4" s="19" t="s">
        <v>30</v>
      </c>
      <c r="T4" s="19" t="s">
        <v>56</v>
      </c>
      <c r="U4" s="19" t="s">
        <v>57</v>
      </c>
      <c r="W4" s="31" t="s">
        <v>29</v>
      </c>
      <c r="X4" s="28" t="s">
        <v>51</v>
      </c>
      <c r="Z4" s="39" t="s">
        <v>33</v>
      </c>
      <c r="AA4" s="40" t="s">
        <v>34</v>
      </c>
      <c r="AB4" s="40" t="s">
        <v>35</v>
      </c>
      <c r="AC4" s="40" t="s">
        <v>49</v>
      </c>
    </row>
    <row r="5" spans="1:29" ht="15.75" thickBot="1" x14ac:dyDescent="0.25">
      <c r="A5" s="21">
        <v>6</v>
      </c>
      <c r="B5" s="22">
        <v>6</v>
      </c>
      <c r="C5" s="60">
        <v>0</v>
      </c>
      <c r="D5" s="61">
        <v>8</v>
      </c>
      <c r="E5" s="23">
        <f>(((100%-(C5*0.4%)))*X5)*D5/8</f>
        <v>7953</v>
      </c>
      <c r="F5" s="24">
        <f>E5/4.333/5/8</f>
        <v>45.886222017078232</v>
      </c>
      <c r="G5" s="24">
        <f>SUM(E5*12)</f>
        <v>95436</v>
      </c>
      <c r="H5" s="22">
        <f>750*12</f>
        <v>9000</v>
      </c>
      <c r="I5" s="24">
        <f>E5</f>
        <v>7953</v>
      </c>
      <c r="J5" s="24">
        <f t="shared" ref="J5:J16" si="0">LOOKUP(E5,$Z$6:$Z$11,$AC$6:$AC$11)</f>
        <v>8949</v>
      </c>
      <c r="K5" s="24">
        <f>SUM(G5*0.15)</f>
        <v>14315.4</v>
      </c>
      <c r="L5" s="24">
        <f>(E5*24*0.355*0.001*50%)*12</f>
        <v>406.55735999999996</v>
      </c>
      <c r="M5" s="24">
        <f>IF((G5+H5)*1%&gt;(148.72*12),(148.72*12),(G5+H5)*1%)</f>
        <v>1044.3600000000001</v>
      </c>
      <c r="N5" s="24">
        <f t="shared" ref="N5:N16" si="1">SUM(G5+H5+I5+J5+K5+L5+M5)</f>
        <v>137104.31735999999</v>
      </c>
      <c r="O5" s="25">
        <f>E5/W5</f>
        <v>0.86322111470902119</v>
      </c>
      <c r="P5" s="5">
        <v>76187.543512500008</v>
      </c>
      <c r="Q5" s="20">
        <v>120153.92763229201</v>
      </c>
      <c r="R5" s="34">
        <v>81596.859101887501</v>
      </c>
      <c r="S5" s="35">
        <v>129039.69743645417</v>
      </c>
      <c r="T5" s="34">
        <v>87372</v>
      </c>
      <c r="U5" s="35">
        <v>138113.72472</v>
      </c>
      <c r="W5" s="32">
        <f>8691.66666666667*106%</f>
        <v>9213.1666666666697</v>
      </c>
      <c r="X5" s="29">
        <v>7953</v>
      </c>
    </row>
    <row r="6" spans="1:29" ht="15.75" thickBot="1" x14ac:dyDescent="0.25">
      <c r="A6" s="26">
        <v>7</v>
      </c>
      <c r="B6" s="1" t="s">
        <v>0</v>
      </c>
      <c r="C6" s="62">
        <v>0</v>
      </c>
      <c r="D6" s="63">
        <v>8</v>
      </c>
      <c r="E6" s="15">
        <f>(((100%-(C6*0.4%)))*X6)*D6/8</f>
        <v>9188</v>
      </c>
      <c r="F6" s="5">
        <f>E6/4.333/5/8</f>
        <v>53.011770136164316</v>
      </c>
      <c r="G6" s="5">
        <f t="shared" ref="G6:G16" si="2">SUM(E6*12)</f>
        <v>110256</v>
      </c>
      <c r="H6" s="1">
        <v>9000</v>
      </c>
      <c r="I6" s="5">
        <f t="shared" ref="I6:I16" si="3">E6</f>
        <v>9188</v>
      </c>
      <c r="J6" s="5">
        <f t="shared" si="0"/>
        <v>9549</v>
      </c>
      <c r="K6" s="5">
        <f t="shared" ref="K6:K16" si="4">SUM(G6*0.15)</f>
        <v>16538.399999999998</v>
      </c>
      <c r="L6" s="5">
        <f t="shared" ref="L6:L16" si="5">(E6*24*0.355*0.001*50%)*12</f>
        <v>469.69055999999995</v>
      </c>
      <c r="M6" s="5">
        <f t="shared" ref="M6:M16" si="6">IF((G6+H6)*1%&gt;(148.72*12),(148.72*12),(G6+H6)*1%)</f>
        <v>1192.56</v>
      </c>
      <c r="N6" s="5">
        <f t="shared" si="1"/>
        <v>156193.65055999998</v>
      </c>
      <c r="O6" s="27">
        <f t="shared" ref="O6:O16" si="7">E6/W6</f>
        <v>0.85962887883985939</v>
      </c>
      <c r="P6" s="5">
        <v>87627.447337499994</v>
      </c>
      <c r="Q6" s="20">
        <v>134429.707349484</v>
      </c>
      <c r="R6" s="36">
        <v>93848.996098462492</v>
      </c>
      <c r="S6" s="20">
        <v>144325.38187246781</v>
      </c>
      <c r="T6" s="36">
        <v>101220</v>
      </c>
      <c r="U6" s="20">
        <v>156590.39720000001</v>
      </c>
      <c r="V6" s="11"/>
      <c r="W6" s="32">
        <f>10083.3333333333*106%</f>
        <v>10688.333333333298</v>
      </c>
      <c r="X6" s="29">
        <v>9188</v>
      </c>
      <c r="Z6" s="65">
        <v>0.5</v>
      </c>
      <c r="AA6" s="66">
        <v>1400</v>
      </c>
      <c r="AB6" s="66">
        <v>250</v>
      </c>
      <c r="AC6" s="45">
        <f>(((AA6)*50%)*12)+(5.75*12)</f>
        <v>8469</v>
      </c>
    </row>
    <row r="7" spans="1:29" ht="15.75" thickBot="1" x14ac:dyDescent="0.25">
      <c r="A7" s="26">
        <v>8</v>
      </c>
      <c r="B7" s="1" t="s">
        <v>1</v>
      </c>
      <c r="C7" s="62">
        <v>0</v>
      </c>
      <c r="D7" s="63">
        <v>8</v>
      </c>
      <c r="E7" s="15">
        <f>(((100%-(C7*0.4%)))*X7)*D7/8</f>
        <v>10544</v>
      </c>
      <c r="F7" s="5">
        <f t="shared" ref="F7:F16" si="8">E7/4.333/5/8</f>
        <v>60.835448880683124</v>
      </c>
      <c r="G7" s="5">
        <f t="shared" si="2"/>
        <v>126528</v>
      </c>
      <c r="H7" s="1">
        <v>9000</v>
      </c>
      <c r="I7" s="5">
        <f t="shared" si="3"/>
        <v>10544</v>
      </c>
      <c r="J7" s="5">
        <f t="shared" si="0"/>
        <v>10269</v>
      </c>
      <c r="K7" s="5">
        <f t="shared" si="4"/>
        <v>18979.2</v>
      </c>
      <c r="L7" s="5">
        <f t="shared" si="5"/>
        <v>539.00927999999999</v>
      </c>
      <c r="M7" s="5">
        <f t="shared" si="6"/>
        <v>1355.28</v>
      </c>
      <c r="N7" s="5">
        <f t="shared" si="1"/>
        <v>177214.48928000001</v>
      </c>
      <c r="O7" s="27">
        <f t="shared" si="7"/>
        <v>0.85018545395903888</v>
      </c>
      <c r="P7" s="5">
        <v>100770.87195</v>
      </c>
      <c r="Q7" s="20">
        <v>151911.29930059201</v>
      </c>
      <c r="R7" s="36">
        <v>107925.60385845002</v>
      </c>
      <c r="S7" s="20">
        <v>163027.26386977654</v>
      </c>
      <c r="T7" s="36">
        <v>117408</v>
      </c>
      <c r="U7" s="20">
        <v>176786.43807999999</v>
      </c>
      <c r="W7" s="32">
        <f>11700*106%</f>
        <v>12402</v>
      </c>
      <c r="X7" s="29">
        <v>10544</v>
      </c>
      <c r="Z7" s="43">
        <v>6001</v>
      </c>
      <c r="AA7" s="44">
        <v>1480</v>
      </c>
      <c r="AB7" s="44">
        <v>260</v>
      </c>
      <c r="AC7" s="45">
        <f t="shared" ref="AC7:AC11" si="9">(((AA7)*50%)*12)+(5.75*12)</f>
        <v>8949</v>
      </c>
    </row>
    <row r="8" spans="1:29" ht="15.75" thickBot="1" x14ac:dyDescent="0.25">
      <c r="A8" s="26">
        <v>9</v>
      </c>
      <c r="B8" s="1">
        <v>8</v>
      </c>
      <c r="C8" s="62">
        <v>0</v>
      </c>
      <c r="D8" s="63">
        <v>8</v>
      </c>
      <c r="E8" s="15">
        <f>(((100%-(C8*0.4%)))*X8)*D8/8</f>
        <v>12266</v>
      </c>
      <c r="F8" s="5">
        <f t="shared" si="8"/>
        <v>70.77082852527117</v>
      </c>
      <c r="G8" s="5">
        <f t="shared" si="2"/>
        <v>147192</v>
      </c>
      <c r="H8" s="1">
        <v>9000</v>
      </c>
      <c r="I8" s="5">
        <f t="shared" si="3"/>
        <v>12266</v>
      </c>
      <c r="J8" s="5">
        <f t="shared" si="0"/>
        <v>10269</v>
      </c>
      <c r="K8" s="5">
        <f t="shared" si="4"/>
        <v>22078.799999999999</v>
      </c>
      <c r="L8" s="5">
        <f t="shared" si="5"/>
        <v>627.03791999999999</v>
      </c>
      <c r="M8" s="5">
        <f t="shared" si="6"/>
        <v>1561.92</v>
      </c>
      <c r="N8" s="5">
        <f t="shared" si="1"/>
        <v>202994.75792</v>
      </c>
      <c r="O8" s="27">
        <f t="shared" si="7"/>
        <v>0.85242711699503115</v>
      </c>
      <c r="P8" s="5">
        <v>115880.9628375</v>
      </c>
      <c r="Q8" s="20">
        <v>170767.08098516401</v>
      </c>
      <c r="R8" s="36">
        <v>124108.51119896249</v>
      </c>
      <c r="S8" s="20">
        <v>184536.95118175089</v>
      </c>
      <c r="T8" s="36">
        <v>136176</v>
      </c>
      <c r="U8" s="20">
        <v>201581.26976</v>
      </c>
      <c r="W8" s="32">
        <f>13575*106%</f>
        <v>14389.5</v>
      </c>
      <c r="X8" s="29">
        <v>12266</v>
      </c>
      <c r="Z8" s="43">
        <v>8001</v>
      </c>
      <c r="AA8" s="44">
        <v>1580</v>
      </c>
      <c r="AB8" s="44">
        <v>270</v>
      </c>
      <c r="AC8" s="45">
        <f t="shared" si="9"/>
        <v>9549</v>
      </c>
    </row>
    <row r="9" spans="1:29" ht="15.75" thickBot="1" x14ac:dyDescent="0.25">
      <c r="A9" s="26">
        <v>10</v>
      </c>
      <c r="B9" s="1">
        <v>9</v>
      </c>
      <c r="C9" s="62">
        <v>0</v>
      </c>
      <c r="D9" s="63">
        <v>8</v>
      </c>
      <c r="E9" s="15">
        <f t="shared" ref="E9:E16" si="10">(((100%-(C9*0.5%)))*X9)*D9/8</f>
        <v>13904</v>
      </c>
      <c r="F9" s="5">
        <f t="shared" si="8"/>
        <v>80.22155550426956</v>
      </c>
      <c r="G9" s="5">
        <f t="shared" si="2"/>
        <v>166848</v>
      </c>
      <c r="H9" s="1">
        <v>9000</v>
      </c>
      <c r="I9" s="5">
        <f t="shared" si="3"/>
        <v>13904</v>
      </c>
      <c r="J9" s="5">
        <f t="shared" si="0"/>
        <v>10269</v>
      </c>
      <c r="K9" s="5">
        <f t="shared" si="4"/>
        <v>25027.200000000001</v>
      </c>
      <c r="L9" s="5">
        <f t="shared" si="5"/>
        <v>710.77247999999986</v>
      </c>
      <c r="M9" s="5">
        <f t="shared" si="6"/>
        <v>1758.48</v>
      </c>
      <c r="N9" s="5">
        <f t="shared" si="1"/>
        <v>227517.45248000004</v>
      </c>
      <c r="O9" s="27">
        <f t="shared" si="7"/>
        <v>0.83326507985656595</v>
      </c>
      <c r="P9" s="5">
        <v>134277.81641666667</v>
      </c>
      <c r="Q9" s="20">
        <v>194924.39192091557</v>
      </c>
      <c r="R9" s="36">
        <v>143475.84684120835</v>
      </c>
      <c r="S9" s="20">
        <v>208699.51001344592</v>
      </c>
      <c r="T9" s="36">
        <v>153900</v>
      </c>
      <c r="U9" s="20">
        <v>223651.97399999999</v>
      </c>
      <c r="W9" s="32">
        <f>15741.6666666667*106%</f>
        <v>16686.166666666704</v>
      </c>
      <c r="X9" s="29">
        <v>13904</v>
      </c>
      <c r="Z9" s="43">
        <v>10001</v>
      </c>
      <c r="AA9" s="44">
        <v>1700</v>
      </c>
      <c r="AB9" s="44">
        <v>290</v>
      </c>
      <c r="AC9" s="45">
        <f t="shared" si="9"/>
        <v>10269</v>
      </c>
    </row>
    <row r="10" spans="1:29" ht="15.75" thickBot="1" x14ac:dyDescent="0.25">
      <c r="A10" s="26">
        <v>11</v>
      </c>
      <c r="B10" s="1" t="s">
        <v>2</v>
      </c>
      <c r="C10" s="62">
        <v>0</v>
      </c>
      <c r="D10" s="63">
        <v>8</v>
      </c>
      <c r="E10" s="15">
        <f t="shared" si="10"/>
        <v>16044</v>
      </c>
      <c r="F10" s="5">
        <f t="shared" si="8"/>
        <v>92.568659127625196</v>
      </c>
      <c r="G10" s="5">
        <f t="shared" si="2"/>
        <v>192528</v>
      </c>
      <c r="H10" s="1">
        <v>9000</v>
      </c>
      <c r="I10" s="5">
        <f t="shared" si="3"/>
        <v>16044</v>
      </c>
      <c r="J10" s="5">
        <f t="shared" si="0"/>
        <v>10569</v>
      </c>
      <c r="K10" s="5">
        <f t="shared" si="4"/>
        <v>28879.200000000001</v>
      </c>
      <c r="L10" s="5">
        <f t="shared" si="5"/>
        <v>820.16928000000007</v>
      </c>
      <c r="M10" s="5">
        <f t="shared" si="6"/>
        <v>1784.6399999999999</v>
      </c>
      <c r="N10" s="5">
        <f t="shared" si="1"/>
        <v>259625.00928000003</v>
      </c>
      <c r="O10" s="27">
        <f t="shared" si="7"/>
        <v>0.82860487536151883</v>
      </c>
      <c r="P10" s="5">
        <v>154415.30229166668</v>
      </c>
      <c r="Q10" s="20">
        <v>220007.03327150556</v>
      </c>
      <c r="R10" s="36">
        <v>164992.75049864585</v>
      </c>
      <c r="S10" s="20">
        <v>235391.28806545411</v>
      </c>
      <c r="T10" s="36">
        <v>178464</v>
      </c>
      <c r="U10" s="20">
        <v>254052.21664</v>
      </c>
      <c r="W10" s="32">
        <f>18266.6666666667*106%</f>
        <v>19362.666666666704</v>
      </c>
      <c r="X10" s="29">
        <v>16044</v>
      </c>
      <c r="Z10" s="43">
        <v>15001</v>
      </c>
      <c r="AA10" s="44">
        <v>1750</v>
      </c>
      <c r="AB10" s="44">
        <v>300</v>
      </c>
      <c r="AC10" s="45">
        <f t="shared" si="9"/>
        <v>10569</v>
      </c>
    </row>
    <row r="11" spans="1:29" ht="15.75" thickBot="1" x14ac:dyDescent="0.25">
      <c r="A11" s="26">
        <v>12</v>
      </c>
      <c r="B11" s="1" t="s">
        <v>3</v>
      </c>
      <c r="C11" s="62">
        <v>0</v>
      </c>
      <c r="D11" s="63">
        <v>8</v>
      </c>
      <c r="E11" s="15">
        <f t="shared" si="10"/>
        <v>18551</v>
      </c>
      <c r="F11" s="5">
        <f t="shared" si="8"/>
        <v>107.03323332564044</v>
      </c>
      <c r="G11" s="5">
        <f t="shared" si="2"/>
        <v>222612</v>
      </c>
      <c r="H11" s="1">
        <v>9000</v>
      </c>
      <c r="I11" s="5">
        <f t="shared" si="3"/>
        <v>18551</v>
      </c>
      <c r="J11" s="5">
        <f t="shared" si="0"/>
        <v>10569</v>
      </c>
      <c r="K11" s="5">
        <f t="shared" si="4"/>
        <v>33391.799999999996</v>
      </c>
      <c r="L11" s="5">
        <f t="shared" si="5"/>
        <v>948.32711999999992</v>
      </c>
      <c r="M11" s="5">
        <f t="shared" si="6"/>
        <v>1784.6399999999999</v>
      </c>
      <c r="N11" s="5">
        <f t="shared" si="1"/>
        <v>296856.76711999997</v>
      </c>
      <c r="O11" s="27">
        <f t="shared" si="7"/>
        <v>0.82584082089939692</v>
      </c>
      <c r="P11" s="5">
        <v>177581.08645833336</v>
      </c>
      <c r="Q11" s="20">
        <v>248683.80305286113</v>
      </c>
      <c r="R11" s="36">
        <v>189745.39088072919</v>
      </c>
      <c r="S11" s="20">
        <v>266804.9907847179</v>
      </c>
      <c r="T11" s="36">
        <v>206964</v>
      </c>
      <c r="U11" s="20">
        <v>290163.62663999997</v>
      </c>
      <c r="W11" s="32">
        <f>21191.6666666667*106%</f>
        <v>22463.166666666704</v>
      </c>
      <c r="X11" s="29">
        <v>18551</v>
      </c>
      <c r="Z11" s="43">
        <v>20001</v>
      </c>
      <c r="AA11" s="44">
        <v>1800</v>
      </c>
      <c r="AB11" s="44">
        <v>310</v>
      </c>
      <c r="AC11" s="45">
        <f t="shared" si="9"/>
        <v>10869</v>
      </c>
    </row>
    <row r="12" spans="1:29" ht="15" x14ac:dyDescent="0.2">
      <c r="A12" s="26">
        <v>13</v>
      </c>
      <c r="B12" s="1" t="s">
        <v>4</v>
      </c>
      <c r="C12" s="62">
        <v>0</v>
      </c>
      <c r="D12" s="63">
        <v>8</v>
      </c>
      <c r="E12" s="15">
        <f t="shared" si="10"/>
        <v>21537</v>
      </c>
      <c r="F12" s="5">
        <f t="shared" si="8"/>
        <v>124.26148165243481</v>
      </c>
      <c r="G12" s="5">
        <f t="shared" si="2"/>
        <v>258444</v>
      </c>
      <c r="H12" s="1">
        <v>9000</v>
      </c>
      <c r="I12" s="5">
        <f t="shared" si="3"/>
        <v>21537</v>
      </c>
      <c r="J12" s="5">
        <f t="shared" si="0"/>
        <v>10869</v>
      </c>
      <c r="K12" s="5">
        <f t="shared" si="4"/>
        <v>38766.6</v>
      </c>
      <c r="L12" s="5">
        <f t="shared" si="5"/>
        <v>1100.97144</v>
      </c>
      <c r="M12" s="5">
        <f t="shared" si="6"/>
        <v>1784.6399999999999</v>
      </c>
      <c r="N12" s="5">
        <f t="shared" si="1"/>
        <v>341502.21143999998</v>
      </c>
      <c r="O12" s="27">
        <f t="shared" si="7"/>
        <v>0.82649184521906083</v>
      </c>
      <c r="P12" s="5">
        <v>204221.73824999999</v>
      </c>
      <c r="Q12" s="20">
        <v>282322.08830141998</v>
      </c>
      <c r="R12" s="36">
        <v>218210.92732012499</v>
      </c>
      <c r="S12" s="20">
        <v>302033.74891187123</v>
      </c>
      <c r="T12" s="36">
        <v>240024</v>
      </c>
      <c r="U12" s="20">
        <v>331738.46223999996</v>
      </c>
      <c r="W12" s="32">
        <f>24583.3333333333*106%</f>
        <v>26058.333333333299</v>
      </c>
      <c r="X12" s="29">
        <v>21537</v>
      </c>
    </row>
    <row r="13" spans="1:29" ht="15" x14ac:dyDescent="0.2">
      <c r="A13" s="26">
        <v>14</v>
      </c>
      <c r="B13" s="1" t="s">
        <v>5</v>
      </c>
      <c r="C13" s="62">
        <v>0</v>
      </c>
      <c r="D13" s="63">
        <v>8</v>
      </c>
      <c r="E13" s="15">
        <f t="shared" si="10"/>
        <v>24001</v>
      </c>
      <c r="F13" s="5">
        <f t="shared" si="8"/>
        <v>138.47795984306487</v>
      </c>
      <c r="G13" s="5">
        <f t="shared" si="2"/>
        <v>288012</v>
      </c>
      <c r="H13" s="1">
        <v>9000</v>
      </c>
      <c r="I13" s="5">
        <f t="shared" si="3"/>
        <v>24001</v>
      </c>
      <c r="J13" s="5">
        <f t="shared" si="0"/>
        <v>10869</v>
      </c>
      <c r="K13" s="5">
        <f t="shared" si="4"/>
        <v>43201.799999999996</v>
      </c>
      <c r="L13" s="5">
        <f t="shared" si="5"/>
        <v>1226.93112</v>
      </c>
      <c r="M13" s="5">
        <f t="shared" si="6"/>
        <v>1784.6399999999999</v>
      </c>
      <c r="N13" s="5">
        <f t="shared" si="1"/>
        <v>378095.37112000003</v>
      </c>
      <c r="O13" s="27">
        <f t="shared" si="7"/>
        <v>0.79377573462536999</v>
      </c>
      <c r="P13" s="5">
        <v>234853.60345833335</v>
      </c>
      <c r="Q13" s="20">
        <v>320241.07003038109</v>
      </c>
      <c r="R13" s="36">
        <v>250941.07529522921</v>
      </c>
      <c r="S13" s="20">
        <v>343140.3618448737</v>
      </c>
      <c r="T13" s="36">
        <v>267612</v>
      </c>
      <c r="U13" s="20">
        <v>365881.18711999996</v>
      </c>
      <c r="W13" s="32">
        <f>28525*106%</f>
        <v>30236.5</v>
      </c>
      <c r="X13" s="29">
        <v>24001</v>
      </c>
      <c r="Y13" s="14"/>
    </row>
    <row r="14" spans="1:29" ht="15" x14ac:dyDescent="0.2">
      <c r="A14" s="26">
        <v>15</v>
      </c>
      <c r="B14" s="1">
        <v>12</v>
      </c>
      <c r="C14" s="62">
        <v>0</v>
      </c>
      <c r="D14" s="63">
        <v>8</v>
      </c>
      <c r="E14" s="15">
        <f t="shared" si="10"/>
        <v>27820</v>
      </c>
      <c r="F14" s="5">
        <f t="shared" si="8"/>
        <v>160.51234710362334</v>
      </c>
      <c r="G14" s="5">
        <f t="shared" si="2"/>
        <v>333840</v>
      </c>
      <c r="H14" s="1">
        <v>9000</v>
      </c>
      <c r="I14" s="5">
        <f t="shared" si="3"/>
        <v>27820</v>
      </c>
      <c r="J14" s="5">
        <f t="shared" si="0"/>
        <v>10869</v>
      </c>
      <c r="K14" s="5">
        <f t="shared" si="4"/>
        <v>50076</v>
      </c>
      <c r="L14" s="5">
        <f t="shared" si="5"/>
        <v>1422.1584</v>
      </c>
      <c r="M14" s="5">
        <f t="shared" si="6"/>
        <v>1784.6399999999999</v>
      </c>
      <c r="N14" s="5">
        <f t="shared" si="1"/>
        <v>434811.79840000003</v>
      </c>
      <c r="O14" s="27">
        <f t="shared" si="7"/>
        <v>0.79310852738961146</v>
      </c>
      <c r="P14" s="5">
        <v>270076.75962500006</v>
      </c>
      <c r="Q14" s="20">
        <v>364383.5802280567</v>
      </c>
      <c r="R14" s="36">
        <v>287901.82576024998</v>
      </c>
      <c r="S14" s="20">
        <v>388882.74021538027</v>
      </c>
      <c r="T14" s="36">
        <v>310200</v>
      </c>
      <c r="U14" s="20">
        <v>418587.81199999998</v>
      </c>
      <c r="W14" s="32">
        <f>33091.6666666667*106%</f>
        <v>35077.166666666708</v>
      </c>
      <c r="X14" s="29">
        <v>27820</v>
      </c>
    </row>
    <row r="15" spans="1:29" ht="15" x14ac:dyDescent="0.2">
      <c r="A15" s="26">
        <v>16</v>
      </c>
      <c r="B15" s="1">
        <v>13</v>
      </c>
      <c r="C15" s="62">
        <v>0</v>
      </c>
      <c r="D15" s="63">
        <v>8</v>
      </c>
      <c r="E15" s="15">
        <f t="shared" si="10"/>
        <v>32291</v>
      </c>
      <c r="F15" s="5">
        <f t="shared" si="8"/>
        <v>186.30856219709207</v>
      </c>
      <c r="G15" s="5">
        <f t="shared" si="2"/>
        <v>387492</v>
      </c>
      <c r="H15" s="1">
        <v>9000</v>
      </c>
      <c r="I15" s="5">
        <f t="shared" si="3"/>
        <v>32291</v>
      </c>
      <c r="J15" s="5">
        <f t="shared" si="0"/>
        <v>10869</v>
      </c>
      <c r="K15" s="5">
        <f t="shared" si="4"/>
        <v>58123.799999999996</v>
      </c>
      <c r="L15" s="5">
        <f t="shared" si="5"/>
        <v>1650.7159200000001</v>
      </c>
      <c r="M15" s="5">
        <f t="shared" si="6"/>
        <v>1784.6399999999999</v>
      </c>
      <c r="N15" s="5">
        <f t="shared" si="1"/>
        <v>501211.15591999999</v>
      </c>
      <c r="O15" s="27">
        <f t="shared" si="7"/>
        <v>0.79348489378345421</v>
      </c>
      <c r="P15" s="5">
        <v>310588.97133333335</v>
      </c>
      <c r="Q15" s="20">
        <v>414533.37702039111</v>
      </c>
      <c r="R15" s="36">
        <v>331087.84344133327</v>
      </c>
      <c r="S15" s="20">
        <v>442329.46779070445</v>
      </c>
      <c r="T15" s="36">
        <v>359568</v>
      </c>
      <c r="U15" s="20">
        <v>479685.31968000002</v>
      </c>
      <c r="W15" s="32">
        <f>38391.6666666667*106%</f>
        <v>40695.166666666708</v>
      </c>
      <c r="X15" s="29">
        <v>32291</v>
      </c>
    </row>
    <row r="16" spans="1:29" ht="15" x14ac:dyDescent="0.2">
      <c r="A16" s="26">
        <v>17</v>
      </c>
      <c r="B16" s="1">
        <v>14</v>
      </c>
      <c r="C16" s="62">
        <v>0</v>
      </c>
      <c r="D16" s="63">
        <v>8</v>
      </c>
      <c r="E16" s="15">
        <f t="shared" si="10"/>
        <v>37521</v>
      </c>
      <c r="F16" s="5">
        <f t="shared" si="8"/>
        <v>216.48396030463883</v>
      </c>
      <c r="G16" s="5">
        <f t="shared" si="2"/>
        <v>450252</v>
      </c>
      <c r="H16" s="1">
        <v>9000</v>
      </c>
      <c r="I16" s="5">
        <f t="shared" si="3"/>
        <v>37521</v>
      </c>
      <c r="J16" s="5">
        <f t="shared" si="0"/>
        <v>10869</v>
      </c>
      <c r="K16" s="5">
        <f t="shared" si="4"/>
        <v>67537.8</v>
      </c>
      <c r="L16" s="5">
        <f t="shared" si="5"/>
        <v>1918.0735199999999</v>
      </c>
      <c r="M16" s="5">
        <f t="shared" si="6"/>
        <v>1784.6399999999999</v>
      </c>
      <c r="N16" s="5">
        <f t="shared" si="1"/>
        <v>578882.51352000004</v>
      </c>
      <c r="O16" s="27">
        <f t="shared" si="7"/>
        <v>0.79484662749971813</v>
      </c>
      <c r="P16" s="5">
        <v>357171.7349166667</v>
      </c>
      <c r="Q16" s="20">
        <v>472197.86950844224</v>
      </c>
      <c r="R16" s="36">
        <v>380745.06942116667</v>
      </c>
      <c r="S16" s="20">
        <v>503784.91961517307</v>
      </c>
      <c r="T16" s="36">
        <v>416916</v>
      </c>
      <c r="U16" s="20">
        <v>550658.82215999998</v>
      </c>
      <c r="W16" s="32">
        <f>44533.3333333333*106%</f>
        <v>47205.333333333299</v>
      </c>
      <c r="X16" s="29">
        <v>37521</v>
      </c>
    </row>
    <row r="17" spans="1:24" s="51" customFormat="1" ht="15" x14ac:dyDescent="0.2">
      <c r="A17" s="46">
        <v>18</v>
      </c>
      <c r="B17" s="47" t="s">
        <v>8</v>
      </c>
      <c r="C17" s="62">
        <v>0</v>
      </c>
      <c r="D17" s="63">
        <v>8</v>
      </c>
      <c r="E17" s="82" t="s">
        <v>20</v>
      </c>
      <c r="F17" s="83"/>
      <c r="G17" s="83"/>
      <c r="H17" s="83"/>
      <c r="I17" s="83"/>
      <c r="J17" s="83"/>
      <c r="K17" s="83"/>
      <c r="L17" s="83"/>
      <c r="M17" s="84"/>
      <c r="N17" s="48">
        <f t="shared" ref="N17:N24" si="11">((((100%-(C17*0.5%))*(X17*0.7)))/0.7)/8*D17</f>
        <v>684822.6</v>
      </c>
      <c r="O17" s="49">
        <f>N17/W17</f>
        <v>0.72509433962264147</v>
      </c>
      <c r="P17" s="91" t="s">
        <v>22</v>
      </c>
      <c r="Q17" s="50">
        <v>571724.9040000001</v>
      </c>
      <c r="R17" s="91" t="s">
        <v>22</v>
      </c>
      <c r="S17" s="50">
        <v>600311.1492000001</v>
      </c>
      <c r="T17" s="98" t="s">
        <v>22</v>
      </c>
      <c r="U17" s="50">
        <v>641520</v>
      </c>
      <c r="W17" s="52">
        <f>U17/72%*100%*106%</f>
        <v>944460</v>
      </c>
      <c r="X17" s="53">
        <f>U17*106.75%</f>
        <v>684822.6</v>
      </c>
    </row>
    <row r="18" spans="1:24" s="51" customFormat="1" ht="15" x14ac:dyDescent="0.2">
      <c r="A18" s="46">
        <v>19</v>
      </c>
      <c r="B18" s="47" t="s">
        <v>9</v>
      </c>
      <c r="C18" s="62">
        <v>0</v>
      </c>
      <c r="D18" s="63">
        <v>8</v>
      </c>
      <c r="E18" s="85"/>
      <c r="F18" s="86"/>
      <c r="G18" s="86"/>
      <c r="H18" s="86"/>
      <c r="I18" s="86"/>
      <c r="J18" s="86"/>
      <c r="K18" s="86"/>
      <c r="L18" s="86"/>
      <c r="M18" s="87"/>
      <c r="N18" s="48">
        <f t="shared" si="11"/>
        <v>793224.83519999997</v>
      </c>
      <c r="O18" s="49">
        <f t="shared" ref="O18:O24" si="12">N18/W18</f>
        <v>0.72427924528301879</v>
      </c>
      <c r="P18" s="92"/>
      <c r="Q18" s="50">
        <v>657475.64791836753</v>
      </c>
      <c r="R18" s="92"/>
      <c r="S18" s="50">
        <v>690349.43031428591</v>
      </c>
      <c r="T18" s="99"/>
      <c r="U18" s="50">
        <v>743904</v>
      </c>
      <c r="W18" s="52">
        <f t="shared" ref="W18:W20" si="13">U18/72%*100%*106%</f>
        <v>1095192</v>
      </c>
      <c r="X18" s="53">
        <f>U18*106.63%</f>
        <v>793224.83519999997</v>
      </c>
    </row>
    <row r="19" spans="1:24" s="51" customFormat="1" ht="15" x14ac:dyDescent="0.2">
      <c r="A19" s="46">
        <v>20</v>
      </c>
      <c r="B19" s="47" t="s">
        <v>10</v>
      </c>
      <c r="C19" s="62">
        <v>0</v>
      </c>
      <c r="D19" s="63">
        <v>8</v>
      </c>
      <c r="E19" s="85"/>
      <c r="F19" s="86"/>
      <c r="G19" s="86"/>
      <c r="H19" s="86"/>
      <c r="I19" s="86"/>
      <c r="J19" s="86"/>
      <c r="K19" s="86"/>
      <c r="L19" s="86"/>
      <c r="M19" s="87"/>
      <c r="N19" s="48">
        <f t="shared" si="11"/>
        <v>918866.03040000016</v>
      </c>
      <c r="O19" s="49">
        <f t="shared" si="12"/>
        <v>0.72346415094339633</v>
      </c>
      <c r="P19" s="92"/>
      <c r="Q19" s="50">
        <v>756112.97846938786</v>
      </c>
      <c r="R19" s="92"/>
      <c r="S19" s="50">
        <v>793918.62739285722</v>
      </c>
      <c r="T19" s="99"/>
      <c r="U19" s="50">
        <v>862704</v>
      </c>
      <c r="W19" s="52">
        <f t="shared" si="13"/>
        <v>1270092</v>
      </c>
      <c r="X19" s="53">
        <f>U19*106.51%</f>
        <v>918866.03040000016</v>
      </c>
    </row>
    <row r="20" spans="1:24" s="51" customFormat="1" ht="15" x14ac:dyDescent="0.2">
      <c r="A20" s="46">
        <v>21</v>
      </c>
      <c r="B20" s="47" t="s">
        <v>11</v>
      </c>
      <c r="C20" s="62">
        <v>0</v>
      </c>
      <c r="D20" s="63">
        <v>8</v>
      </c>
      <c r="E20" s="85"/>
      <c r="F20" s="86"/>
      <c r="G20" s="86"/>
      <c r="H20" s="86"/>
      <c r="I20" s="86"/>
      <c r="J20" s="86"/>
      <c r="K20" s="86"/>
      <c r="L20" s="86"/>
      <c r="M20" s="87"/>
      <c r="N20" s="48">
        <f t="shared" si="11"/>
        <v>1064268.0719999999</v>
      </c>
      <c r="O20" s="49">
        <f t="shared" si="12"/>
        <v>0.72258113207547159</v>
      </c>
      <c r="P20" s="92"/>
      <c r="Q20" s="50">
        <v>869514.9408367346</v>
      </c>
      <c r="R20" s="92"/>
      <c r="S20" s="50">
        <v>912990.68787857133</v>
      </c>
      <c r="T20" s="99"/>
      <c r="U20" s="50">
        <v>1000440.0000000001</v>
      </c>
      <c r="W20" s="52">
        <f t="shared" si="13"/>
        <v>1472870.0000000002</v>
      </c>
      <c r="X20" s="53">
        <f>U20*106.38%</f>
        <v>1064268.0719999999</v>
      </c>
    </row>
    <row r="21" spans="1:24" s="51" customFormat="1" ht="15" x14ac:dyDescent="0.2">
      <c r="A21" s="46">
        <v>22</v>
      </c>
      <c r="B21" s="47" t="s">
        <v>12</v>
      </c>
      <c r="C21" s="62">
        <v>0</v>
      </c>
      <c r="D21" s="63">
        <v>8</v>
      </c>
      <c r="E21" s="85"/>
      <c r="F21" s="86"/>
      <c r="G21" s="86"/>
      <c r="H21" s="86"/>
      <c r="I21" s="86"/>
      <c r="J21" s="86"/>
      <c r="K21" s="86"/>
      <c r="L21" s="86"/>
      <c r="M21" s="87"/>
      <c r="N21" s="48">
        <f t="shared" si="11"/>
        <v>1198478.75</v>
      </c>
      <c r="O21" s="49">
        <f t="shared" si="12"/>
        <v>0.70165094339622647</v>
      </c>
      <c r="P21" s="92"/>
      <c r="Q21" s="50">
        <v>999939.18508163258</v>
      </c>
      <c r="R21" s="92"/>
      <c r="S21" s="50">
        <v>1049936.1443357142</v>
      </c>
      <c r="T21" s="99"/>
      <c r="U21" s="50">
        <v>1127980</v>
      </c>
      <c r="V21" s="54"/>
      <c r="W21" s="52">
        <f>U21/70%*100%*106%</f>
        <v>1708084</v>
      </c>
      <c r="X21" s="53">
        <f>U21*106.25%</f>
        <v>1198478.75</v>
      </c>
    </row>
    <row r="22" spans="1:24" s="51" customFormat="1" ht="15" x14ac:dyDescent="0.2">
      <c r="A22" s="46">
        <v>23</v>
      </c>
      <c r="B22" s="47" t="s">
        <v>13</v>
      </c>
      <c r="C22" s="62">
        <v>0</v>
      </c>
      <c r="D22" s="63">
        <v>8</v>
      </c>
      <c r="E22" s="85"/>
      <c r="F22" s="86"/>
      <c r="G22" s="86"/>
      <c r="H22" s="86"/>
      <c r="I22" s="86"/>
      <c r="J22" s="86"/>
      <c r="K22" s="86"/>
      <c r="L22" s="86"/>
      <c r="M22" s="87"/>
      <c r="N22" s="48">
        <f t="shared" si="11"/>
        <v>1340208.8125</v>
      </c>
      <c r="O22" s="49">
        <f t="shared" si="12"/>
        <v>0.67659198113207542</v>
      </c>
      <c r="P22" s="92"/>
      <c r="Q22" s="50">
        <v>1149943.0493265309</v>
      </c>
      <c r="R22" s="92"/>
      <c r="S22" s="50">
        <v>1207440.2017928574</v>
      </c>
      <c r="T22" s="99"/>
      <c r="U22" s="50">
        <v>1261373</v>
      </c>
      <c r="W22" s="52">
        <f>U22/67.5%*100%*106%</f>
        <v>1980822.7851851853</v>
      </c>
      <c r="X22" s="53">
        <f>U22*106.25%</f>
        <v>1340208.8125</v>
      </c>
    </row>
    <row r="23" spans="1:24" s="51" customFormat="1" ht="15" x14ac:dyDescent="0.2">
      <c r="A23" s="46">
        <v>24</v>
      </c>
      <c r="B23" s="47">
        <v>17</v>
      </c>
      <c r="C23" s="62">
        <v>0</v>
      </c>
      <c r="D23" s="63">
        <v>8</v>
      </c>
      <c r="E23" s="85"/>
      <c r="F23" s="86"/>
      <c r="G23" s="86"/>
      <c r="H23" s="86"/>
      <c r="I23" s="86"/>
      <c r="J23" s="86"/>
      <c r="K23" s="86"/>
      <c r="L23" s="86"/>
      <c r="M23" s="87"/>
      <c r="N23" s="48">
        <f t="shared" si="11"/>
        <v>1554217.5625</v>
      </c>
      <c r="O23" s="49">
        <f t="shared" si="12"/>
        <v>0.67659198113207542</v>
      </c>
      <c r="P23" s="92"/>
      <c r="Q23" s="50">
        <v>1330904.6100000001</v>
      </c>
      <c r="R23" s="92"/>
      <c r="S23" s="50">
        <v>1397449.8405000002</v>
      </c>
      <c r="T23" s="99"/>
      <c r="U23" s="50">
        <v>1462793</v>
      </c>
      <c r="W23" s="52">
        <f>U23/67.5%*100%*106%</f>
        <v>2297126.7851851853</v>
      </c>
      <c r="X23" s="53">
        <f>U23*106.25%</f>
        <v>1554217.5625</v>
      </c>
    </row>
    <row r="24" spans="1:24" s="51" customFormat="1" ht="15.75" thickBot="1" x14ac:dyDescent="0.25">
      <c r="A24" s="55">
        <v>25</v>
      </c>
      <c r="B24" s="56">
        <v>18</v>
      </c>
      <c r="C24" s="64">
        <v>0</v>
      </c>
      <c r="D24" s="64">
        <v>8</v>
      </c>
      <c r="E24" s="88"/>
      <c r="F24" s="89"/>
      <c r="G24" s="89"/>
      <c r="H24" s="89"/>
      <c r="I24" s="89"/>
      <c r="J24" s="89"/>
      <c r="K24" s="89"/>
      <c r="L24" s="89"/>
      <c r="M24" s="90"/>
      <c r="N24" s="67">
        <f t="shared" si="11"/>
        <v>1925938.5</v>
      </c>
      <c r="O24" s="57">
        <f t="shared" si="12"/>
        <v>0.65153301886792447</v>
      </c>
      <c r="P24" s="93"/>
      <c r="Q24" s="58">
        <v>1485442.9857142856</v>
      </c>
      <c r="R24" s="93"/>
      <c r="S24" s="58">
        <v>1559715.135</v>
      </c>
      <c r="T24" s="100"/>
      <c r="U24" s="58">
        <v>1812648</v>
      </c>
      <c r="W24" s="52">
        <f>U24/65%*100%*106%</f>
        <v>2956010.5846153847</v>
      </c>
      <c r="X24" s="53">
        <f>U24*106.25%</f>
        <v>1925938.5</v>
      </c>
    </row>
    <row r="25" spans="1:24" ht="14.25" x14ac:dyDescent="0.2">
      <c r="A25" s="4" t="s">
        <v>52</v>
      </c>
      <c r="B25" s="2"/>
      <c r="C25" s="2"/>
      <c r="D25" s="2"/>
      <c r="E25" s="13"/>
      <c r="F25" s="2"/>
      <c r="G25" s="2"/>
      <c r="H25" s="2"/>
      <c r="I25" s="2"/>
      <c r="J25" s="2"/>
      <c r="K25" s="2"/>
      <c r="L25" s="2"/>
      <c r="M25" s="2"/>
      <c r="N25" s="2"/>
      <c r="O25" s="2"/>
      <c r="P25" s="2"/>
      <c r="Q25" s="2"/>
      <c r="R25" s="3"/>
      <c r="S25" s="3"/>
      <c r="T25" s="3"/>
      <c r="U25" s="3"/>
      <c r="X25" s="2"/>
    </row>
    <row r="26" spans="1:24" ht="29.25" customHeight="1" x14ac:dyDescent="0.2">
      <c r="A26" s="70" t="s">
        <v>64</v>
      </c>
      <c r="B26" s="71"/>
      <c r="C26" s="71"/>
      <c r="D26" s="71"/>
      <c r="E26" s="71"/>
      <c r="F26" s="71"/>
      <c r="G26" s="71"/>
      <c r="H26" s="71"/>
      <c r="I26" s="71"/>
      <c r="J26" s="71"/>
      <c r="K26" s="71"/>
      <c r="L26" s="71"/>
      <c r="M26" s="71"/>
      <c r="N26" s="71"/>
      <c r="O26" s="71"/>
      <c r="P26" s="71"/>
      <c r="Q26" s="71"/>
      <c r="R26" s="71"/>
      <c r="S26" s="71"/>
      <c r="T26" s="71"/>
      <c r="U26" s="71"/>
    </row>
    <row r="27" spans="1:24" ht="30" customHeight="1" x14ac:dyDescent="0.2">
      <c r="A27" s="70" t="s">
        <v>54</v>
      </c>
      <c r="B27" s="71"/>
      <c r="C27" s="71"/>
      <c r="D27" s="71"/>
      <c r="E27" s="71"/>
      <c r="F27" s="71"/>
      <c r="G27" s="71"/>
      <c r="H27" s="71"/>
      <c r="I27" s="71"/>
      <c r="J27" s="71"/>
      <c r="K27" s="71"/>
      <c r="L27" s="71"/>
      <c r="M27" s="71"/>
      <c r="N27" s="71"/>
      <c r="O27" s="71"/>
      <c r="P27" s="71"/>
      <c r="Q27" s="71"/>
      <c r="R27" s="71"/>
      <c r="S27" s="71"/>
      <c r="T27" s="71"/>
      <c r="U27" s="71"/>
    </row>
    <row r="28" spans="1:24" ht="23.25" customHeight="1" x14ac:dyDescent="0.2">
      <c r="A28" s="68" t="s">
        <v>60</v>
      </c>
      <c r="B28" s="69"/>
      <c r="C28" s="69"/>
      <c r="D28" s="69"/>
      <c r="E28" s="69"/>
      <c r="F28" s="69"/>
      <c r="G28" s="69"/>
      <c r="H28" s="69"/>
      <c r="I28" s="69"/>
      <c r="J28" s="69"/>
      <c r="K28" s="69"/>
      <c r="L28" s="69"/>
      <c r="M28" s="69"/>
      <c r="N28" s="69"/>
      <c r="O28" s="69"/>
      <c r="P28" s="69"/>
      <c r="Q28" s="69"/>
      <c r="R28" s="69"/>
      <c r="S28" s="69"/>
      <c r="T28" s="69"/>
      <c r="U28" s="69"/>
    </row>
    <row r="29" spans="1:24" ht="18" customHeight="1" x14ac:dyDescent="0.2">
      <c r="A29" s="70" t="s">
        <v>61</v>
      </c>
      <c r="B29" s="71"/>
      <c r="C29" s="71"/>
      <c r="D29" s="71"/>
      <c r="E29" s="71"/>
      <c r="F29" s="71"/>
      <c r="G29" s="71"/>
      <c r="H29" s="71"/>
      <c r="I29" s="71"/>
      <c r="J29" s="71"/>
      <c r="K29" s="71"/>
      <c r="L29" s="71"/>
      <c r="M29" s="71"/>
      <c r="N29" s="71"/>
      <c r="O29" s="71"/>
      <c r="P29" s="71"/>
      <c r="Q29" s="71"/>
      <c r="R29" s="71"/>
      <c r="S29" s="71"/>
      <c r="T29" s="71"/>
      <c r="U29" s="71"/>
    </row>
    <row r="30" spans="1:24" x14ac:dyDescent="0.2">
      <c r="A30" t="s">
        <v>50</v>
      </c>
    </row>
    <row r="31" spans="1:24" x14ac:dyDescent="0.2">
      <c r="F31" s="14"/>
    </row>
  </sheetData>
  <autoFilter ref="A1:S25">
    <filterColumn colId="0" showButton="0"/>
    <filterColumn colId="1" showButton="0"/>
    <filterColumn colId="2" showButton="0">
      <colorFilter dxfId="0"/>
    </filterColumn>
    <filterColumn colId="3" hiddenButton="1"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4">
    <mergeCell ref="A28:U28"/>
    <mergeCell ref="A29:U29"/>
    <mergeCell ref="A27:U27"/>
    <mergeCell ref="Z3:AC3"/>
    <mergeCell ref="A1:S1"/>
    <mergeCell ref="A2:S2"/>
    <mergeCell ref="C3:O3"/>
    <mergeCell ref="E17:M24"/>
    <mergeCell ref="P17:P24"/>
    <mergeCell ref="A3:B3"/>
    <mergeCell ref="P3:U3"/>
    <mergeCell ref="T17:T24"/>
    <mergeCell ref="R17:R24"/>
    <mergeCell ref="A26:U26"/>
  </mergeCells>
  <phoneticPr fontId="2" type="noConversion"/>
  <pageMargins left="0.11811023622047245" right="0" top="0.35433070866141736" bottom="0.59055118110236227" header="0.51181102362204722" footer="0.51181102362204722"/>
  <pageSetup paperSize="9" scale="71"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68"/>
    </sheetView>
  </sheetViews>
  <sheetFormatPr defaultRowHeight="12.75" x14ac:dyDescent="0.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7" sqref="A7"/>
    </sheetView>
  </sheetViews>
  <sheetFormatPr defaultRowHeight="12.75" x14ac:dyDescent="0.2"/>
  <cols>
    <col min="1" max="1" width="13.28515625" customWidth="1"/>
    <col min="2" max="2" width="14.42578125" customWidth="1"/>
    <col min="3" max="3" width="16.42578125" customWidth="1"/>
  </cols>
  <sheetData>
    <row r="1" spans="1:3" x14ac:dyDescent="0.2">
      <c r="A1" s="41">
        <v>4.1399999999999997</v>
      </c>
      <c r="B1" s="41" t="s">
        <v>36</v>
      </c>
      <c r="C1" s="41"/>
    </row>
    <row r="2" spans="1:3" x14ac:dyDescent="0.2">
      <c r="A2" s="41">
        <v>4.1900000000000004</v>
      </c>
      <c r="B2" s="41" t="s">
        <v>37</v>
      </c>
      <c r="C2" s="41"/>
    </row>
    <row r="3" spans="1:3" x14ac:dyDescent="0.2">
      <c r="A3" s="41">
        <v>5.17</v>
      </c>
      <c r="B3" s="41" t="s">
        <v>38</v>
      </c>
      <c r="C3" s="41"/>
    </row>
    <row r="4" spans="1:3" x14ac:dyDescent="0.2">
      <c r="A4" s="41">
        <v>5.77</v>
      </c>
      <c r="B4" s="41" t="s">
        <v>39</v>
      </c>
      <c r="C4" s="41"/>
    </row>
    <row r="5" spans="1:3" x14ac:dyDescent="0.2">
      <c r="A5" s="41">
        <v>6.39</v>
      </c>
      <c r="B5" s="41" t="s">
        <v>40</v>
      </c>
      <c r="C5" s="41"/>
    </row>
    <row r="6" spans="1:3" x14ac:dyDescent="0.2">
      <c r="A6" s="42" t="s">
        <v>41</v>
      </c>
      <c r="B6" s="42" t="s">
        <v>42</v>
      </c>
      <c r="C6" s="42" t="s">
        <v>43</v>
      </c>
    </row>
    <row r="7" spans="1:3" ht="89.25" x14ac:dyDescent="0.2">
      <c r="A7" s="41" t="str">
        <f>LOOKUP(4.19,A2:A6,B2:B6)</f>
        <v>orange</v>
      </c>
      <c r="B7" s="41" t="s">
        <v>44</v>
      </c>
      <c r="C7" s="41" t="s">
        <v>37</v>
      </c>
    </row>
    <row r="8" spans="1:3" ht="127.5" x14ac:dyDescent="0.2">
      <c r="A8" s="41" t="str">
        <f>LOOKUP(5,A2:A6,B2:B6)</f>
        <v>orange</v>
      </c>
      <c r="B8" s="41" t="s">
        <v>45</v>
      </c>
      <c r="C8" s="41" t="s">
        <v>37</v>
      </c>
    </row>
    <row r="9" spans="1:3" ht="127.5" x14ac:dyDescent="0.2">
      <c r="A9" s="41" t="str">
        <f>LOOKUP(7.66,A2:A6,B2:B6)</f>
        <v>blue</v>
      </c>
      <c r="B9" s="41" t="s">
        <v>46</v>
      </c>
      <c r="C9" s="41" t="s">
        <v>40</v>
      </c>
    </row>
    <row r="10" spans="1:3" ht="114.75" x14ac:dyDescent="0.2">
      <c r="A10" s="41" t="e">
        <f>LOOKUP(0,A2:A6,B2:B6)</f>
        <v>#N/A</v>
      </c>
      <c r="B10" s="41" t="s">
        <v>47</v>
      </c>
      <c r="C10" s="41" t="e">
        <v>#N/A</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Rhodes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Rhodes Staff</dc:creator>
  <cp:lastModifiedBy>Rhodes</cp:lastModifiedBy>
  <cp:lastPrinted>2013-03-13T06:13:31Z</cp:lastPrinted>
  <dcterms:created xsi:type="dcterms:W3CDTF">2009-04-22T11:17:54Z</dcterms:created>
  <dcterms:modified xsi:type="dcterms:W3CDTF">2013-09-18T09:05:10Z</dcterms:modified>
</cp:coreProperties>
</file>